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<sst xmlns="http://schemas.openxmlformats.org/spreadsheetml/2006/main" count="108" uniqueCount="84">
  <si>
    <t>编织的结构与重量计算</t>
  </si>
  <si>
    <t>绝缘料和导体重量计算</t>
  </si>
  <si>
    <t>导体直径</t>
  </si>
  <si>
    <t>绝缘重量</t>
  </si>
  <si>
    <t>绝缘外径：</t>
  </si>
  <si>
    <t>编织角：</t>
  </si>
  <si>
    <t>铝合带密度</t>
  </si>
  <si>
    <t>绝缘外径</t>
  </si>
  <si>
    <t>导体重量</t>
  </si>
  <si>
    <t>单丝直径：</t>
  </si>
  <si>
    <t>单向编织密度：</t>
  </si>
  <si>
    <t>聚酯膜密度</t>
  </si>
  <si>
    <t>绝缘密度</t>
  </si>
  <si>
    <t>总重量</t>
  </si>
  <si>
    <t>节距：</t>
  </si>
  <si>
    <t>编织重量：</t>
  </si>
  <si>
    <r>
      <t>PVC</t>
    </r>
    <r>
      <rPr>
        <sz val="12"/>
        <rFont val="宋体"/>
        <family val="0"/>
      </rPr>
      <t>密度</t>
    </r>
  </si>
  <si>
    <t>导体密度</t>
  </si>
  <si>
    <t>锭数：</t>
  </si>
  <si>
    <t>编织密度：</t>
  </si>
  <si>
    <r>
      <t>PE</t>
    </r>
    <r>
      <rPr>
        <sz val="12"/>
        <rFont val="宋体"/>
        <family val="0"/>
      </rPr>
      <t>密度</t>
    </r>
  </si>
  <si>
    <t>每锭根数：</t>
  </si>
  <si>
    <t>编织外径：</t>
  </si>
  <si>
    <t>铜密度</t>
  </si>
  <si>
    <t>编织平均外径：</t>
  </si>
  <si>
    <t>发泡的有关计算</t>
  </si>
  <si>
    <t>装线长度</t>
  </si>
  <si>
    <t>轮具外径</t>
  </si>
  <si>
    <r>
      <t>装线长度（</t>
    </r>
    <r>
      <rPr>
        <sz val="10"/>
        <rFont val="Times New Roman"/>
        <family val="1"/>
      </rPr>
      <t>Km)</t>
    </r>
  </si>
  <si>
    <t>材料密度：</t>
  </si>
  <si>
    <t>泡沫密度：</t>
  </si>
  <si>
    <t>轮芯外径</t>
  </si>
  <si>
    <t>材料介电常数：</t>
  </si>
  <si>
    <t>泡沫介电常数：</t>
  </si>
  <si>
    <t>轮芯宽</t>
  </si>
  <si>
    <t>发泡度：</t>
  </si>
  <si>
    <t>线径</t>
  </si>
  <si>
    <t>（按泡度）外模孔径：</t>
  </si>
  <si>
    <t>留边宽</t>
  </si>
  <si>
    <t>绝缘重量：</t>
  </si>
  <si>
    <t>绞线直径</t>
  </si>
  <si>
    <t>线芯直径</t>
  </si>
  <si>
    <r>
      <t>绞线直径（</t>
    </r>
    <r>
      <rPr>
        <sz val="10"/>
        <rFont val="Times New Roman"/>
        <family val="1"/>
      </rPr>
      <t>mm</t>
    </r>
    <r>
      <rPr>
        <sz val="10"/>
        <rFont val="宋体"/>
        <family val="0"/>
      </rPr>
      <t>）</t>
    </r>
  </si>
  <si>
    <t>绕包重量计算</t>
  </si>
  <si>
    <t>外层根数</t>
  </si>
  <si>
    <t>包带宽度：</t>
  </si>
  <si>
    <t>重叠率：</t>
  </si>
  <si>
    <t>绕包节距：</t>
  </si>
  <si>
    <t>绕包外径：</t>
  </si>
  <si>
    <t>绕包重量：</t>
  </si>
  <si>
    <t>对绞：</t>
  </si>
  <si>
    <t>D=1.65d</t>
  </si>
  <si>
    <t>单线直径</t>
  </si>
  <si>
    <t>d</t>
  </si>
  <si>
    <t>计算外径D</t>
  </si>
  <si>
    <t>绕包角：</t>
  </si>
  <si>
    <t>D=1.71d</t>
  </si>
  <si>
    <t>包带密度：</t>
  </si>
  <si>
    <t>复对绞：</t>
  </si>
  <si>
    <t>D=2.6d</t>
  </si>
  <si>
    <t>包带厚度：</t>
  </si>
  <si>
    <t>多对绞：</t>
  </si>
  <si>
    <r>
      <t>D=N</t>
    </r>
    <r>
      <rPr>
        <vertAlign val="superscript"/>
        <sz val="12"/>
        <rFont val="宋体"/>
        <family val="0"/>
      </rPr>
      <t>1/2</t>
    </r>
    <r>
      <rPr>
        <sz val="12"/>
        <rFont val="宋体"/>
        <family val="0"/>
      </rPr>
      <t>*</t>
    </r>
    <r>
      <rPr>
        <sz val="12"/>
        <rFont val="宋体"/>
        <family val="0"/>
      </rPr>
      <t>1.9d</t>
    </r>
  </si>
  <si>
    <t>对数</t>
  </si>
  <si>
    <t>N</t>
  </si>
  <si>
    <t>水中电容经验公式：24.12*绝缘材料介电常数/lg（绝缘外径/导体外径）</t>
  </si>
  <si>
    <t xml:space="preserve">1。导体用量：（Kg/Km）=d2 × 0.7854 × G × N × K1 × K2 × C </t>
  </si>
  <si>
    <t>d=铜线径 G=铜比重 N=条数 K1=铜线绞入率 K2=芯线绞</t>
  </si>
  <si>
    <t>2。绝缘用量：（Kg/Km）=（D2 - d2）× 0.7854 × G × C × K2</t>
  </si>
  <si>
    <t>D=绝缘外径 d=导体外径 G=绝缘比重 K2=芯线绞入率 C=绝缘芯线根数</t>
  </si>
  <si>
    <t xml:space="preserve"> </t>
  </si>
  <si>
    <t>3。外被用量：（Kg/Km）= ( D12 - D2 ) × 0.7854 × G</t>
  </si>
  <si>
    <t>D1=完成外径 D=上过程外径 G=绝缘比重</t>
  </si>
  <si>
    <t>4。包带用量：（Kg/Km）= D2 × 0.7854 × t × G × Z</t>
  </si>
  <si>
    <t>D=上过程外径 t=包带厚度 G=包带比重 Z=重叠率(1/4Lap = 1.25)</t>
  </si>
  <si>
    <t xml:space="preserve">。缠绕用量：（Kg/Km）= d2 × 0.7854 ×入率 C=绝缘芯线根数 </t>
  </si>
  <si>
    <t>5。缠绕用量：（Kg/Km）= d2 × 0.7854 × G × N × Z</t>
  </si>
  <si>
    <t>d=铜线径 N=条数 G=比重 Z=绞入率</t>
  </si>
  <si>
    <t>6。编织用量：（Kg/Km）= d2 × 0.7854 × T × N × G / cosθ</t>
  </si>
  <si>
    <t>θ = atan( 2 × 3.1416 × ( D + d × 2 )) × 目数 / 25.4 / T</t>
  </si>
  <si>
    <t>d=编织铜线径 T=锭数 N=每锭条数 G=铜比重</t>
  </si>
  <si>
    <t>比重：铜-8.89；银-10.50；铝-2.70；锌-7.05；镍-8.90；锡-7.30；钢-7.80；铅-11.40；铝箔麦拉-1.80；纸-1.35；麦拉-1.37</t>
  </si>
  <si>
    <t>PVC-1.45；LDPE-0.92；HDPE-0.96；PEF（发泡）-0.65；FRPE-1.7；Teflon（FEP）2.2；Nylon-0.97；PP-0.97；PU-1.21</t>
  </si>
  <si>
    <t>棉布带-0.55；PP绳-0.55；棉纱线-0.48 （均为假比重）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</si>
</sst>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14">
    <font>
      <sz val="12"/>
      <name val="宋体"/>
      <family val="0"/>
    </font>
    <font>
      <sz val="11"/>
      <name val="Arial"/>
      <family val="2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10"/>
      <name val="宋体"/>
      <family val="0"/>
    </font>
    <font>
      <sz val="12"/>
      <color indexed="14"/>
      <name val="宋体"/>
      <family val="0"/>
    </font>
    <font>
      <sz val="6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sz val="10"/>
      <name val="Times New Roman"/>
      <family val="1"/>
    </font>
    <font>
      <vertAlign val="superscript"/>
      <sz val="1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6" xfId="0" applyBorder="1" applyAlignment="1">
      <alignment horizontal="right"/>
    </xf>
    <xf numFmtId="0" fontId="3" fillId="2" borderId="6" xfId="0" applyFont="1" applyFill="1" applyBorder="1" applyAlignment="1">
      <alignment/>
    </xf>
    <xf numFmtId="0" fontId="0" fillId="0" borderId="7" xfId="0" applyBorder="1" applyAlignment="1">
      <alignment/>
    </xf>
    <xf numFmtId="0" fontId="4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 horizontal="right"/>
    </xf>
    <xf numFmtId="0" fontId="6" fillId="2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9" fontId="5" fillId="0" borderId="6" xfId="0" applyNumberFormat="1" applyFont="1" applyBorder="1" applyAlignment="1">
      <alignment/>
    </xf>
    <xf numFmtId="0" fontId="8" fillId="0" borderId="6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9" fontId="0" fillId="0" borderId="6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3" borderId="2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6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9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9" fillId="0" borderId="6" xfId="0" applyFont="1" applyBorder="1" applyAlignment="1">
      <alignment/>
    </xf>
    <xf numFmtId="0" fontId="11" fillId="0" borderId="6" xfId="0" applyFont="1" applyBorder="1" applyAlignment="1">
      <alignment/>
    </xf>
    <xf numFmtId="176" fontId="0" fillId="0" borderId="3" xfId="0" applyNumberForma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A31" sqref="A31:IV31"/>
    </sheetView>
  </sheetViews>
  <sheetFormatPr defaultColWidth="9.00390625" defaultRowHeight="14.25"/>
  <cols>
    <col min="1" max="1" width="15.375" style="0" customWidth="1"/>
    <col min="3" max="3" width="17.375" style="0" customWidth="1"/>
    <col min="10" max="10" width="12.75390625" style="0" customWidth="1"/>
    <col min="11" max="11" width="11.375" style="0" customWidth="1"/>
    <col min="12" max="12" width="11.25390625" style="0" customWidth="1"/>
  </cols>
  <sheetData>
    <row r="1" spans="1:13" ht="15">
      <c r="A1" s="3" t="s">
        <v>0</v>
      </c>
      <c r="B1" s="3"/>
      <c r="C1" s="3"/>
      <c r="D1" s="3"/>
      <c r="E1" s="3"/>
      <c r="F1" s="4"/>
      <c r="G1" s="4"/>
      <c r="H1" s="4"/>
      <c r="I1" s="4" t="s">
        <v>1</v>
      </c>
      <c r="J1" s="4"/>
      <c r="K1" s="4"/>
      <c r="L1" s="4"/>
      <c r="M1" s="4"/>
    </row>
    <row r="2" spans="1:13" ht="15">
      <c r="A2" s="5"/>
      <c r="B2" s="6"/>
      <c r="C2" s="7"/>
      <c r="D2" s="6"/>
      <c r="E2" s="8"/>
      <c r="F2" s="4"/>
      <c r="G2" s="4"/>
      <c r="H2" s="9" t="s">
        <v>2</v>
      </c>
      <c r="I2" s="54">
        <v>1.13</v>
      </c>
      <c r="J2" s="54" t="s">
        <v>3</v>
      </c>
      <c r="K2" s="55">
        <f>I4*(I3^2-I2^2)*3.14/4</f>
        <v>2.4422292000000008</v>
      </c>
      <c r="L2" s="4"/>
      <c r="M2" s="4"/>
    </row>
    <row r="3" spans="1:11" ht="14.25">
      <c r="A3" s="10" t="s">
        <v>4</v>
      </c>
      <c r="B3" s="11">
        <v>3.9</v>
      </c>
      <c r="C3" s="12" t="s">
        <v>5</v>
      </c>
      <c r="D3" s="13">
        <f>90-ATAN(3.14*D8/B5)*180/3.14</f>
        <v>69.794792763924</v>
      </c>
      <c r="E3" s="14"/>
      <c r="F3" s="15" t="s">
        <v>6</v>
      </c>
      <c r="G3" s="16">
        <v>1.69</v>
      </c>
      <c r="H3" s="17" t="s">
        <v>7</v>
      </c>
      <c r="I3" s="31">
        <v>1.85</v>
      </c>
      <c r="J3" s="31" t="s">
        <v>8</v>
      </c>
      <c r="K3" s="56">
        <f>1.02*3.14*I2^2*I5/4</f>
        <v>9.099483087</v>
      </c>
    </row>
    <row r="4" spans="1:11" ht="15">
      <c r="A4" s="10" t="s">
        <v>9</v>
      </c>
      <c r="B4" s="11">
        <v>0.1</v>
      </c>
      <c r="C4" s="12" t="s">
        <v>10</v>
      </c>
      <c r="D4" s="13">
        <f>B6*B7*B4/(2*3.14*D8*COS(ATAN(3.14*D8/B5)))</f>
        <v>0.5296895175415739</v>
      </c>
      <c r="E4" s="14"/>
      <c r="F4" s="18" t="s">
        <v>11</v>
      </c>
      <c r="G4" s="19">
        <v>1.4</v>
      </c>
      <c r="H4" s="17" t="s">
        <v>12</v>
      </c>
      <c r="I4" s="31">
        <v>1.45</v>
      </c>
      <c r="J4" s="31" t="s">
        <v>13</v>
      </c>
      <c r="K4" s="56">
        <f>(K2+K3)*1.03</f>
        <v>11.88796365561</v>
      </c>
    </row>
    <row r="5" spans="1:11" ht="15.75">
      <c r="A5" s="10" t="s">
        <v>14</v>
      </c>
      <c r="B5" s="11">
        <v>35</v>
      </c>
      <c r="C5" s="12" t="s">
        <v>15</v>
      </c>
      <c r="D5" s="13">
        <f>(3.14/4)*B4*B4*8.9*B6*B7/COS(ATAN(3.14*D8/B5))</f>
        <v>9.52850008667047</v>
      </c>
      <c r="E5" s="14"/>
      <c r="F5" s="20" t="s">
        <v>16</v>
      </c>
      <c r="G5" s="21">
        <v>1.35</v>
      </c>
      <c r="H5" s="17" t="s">
        <v>17</v>
      </c>
      <c r="I5" s="31">
        <v>8.9</v>
      </c>
      <c r="J5" s="31"/>
      <c r="K5" s="56"/>
    </row>
    <row r="6" spans="1:11" ht="15.75">
      <c r="A6" s="10" t="s">
        <v>18</v>
      </c>
      <c r="B6" s="11">
        <v>16</v>
      </c>
      <c r="C6" s="12" t="s">
        <v>19</v>
      </c>
      <c r="D6" s="22">
        <f>(2*D4-D4*D4)*100</f>
        <v>77.88080500897226</v>
      </c>
      <c r="E6" s="14"/>
      <c r="F6" s="20" t="s">
        <v>20</v>
      </c>
      <c r="G6" s="21">
        <v>0.93</v>
      </c>
      <c r="H6" s="17"/>
      <c r="I6" s="31"/>
      <c r="J6" s="31"/>
      <c r="K6" s="56"/>
    </row>
    <row r="7" spans="1:11" ht="15">
      <c r="A7" s="10" t="s">
        <v>21</v>
      </c>
      <c r="B7" s="11">
        <v>8</v>
      </c>
      <c r="C7" s="23" t="s">
        <v>22</v>
      </c>
      <c r="D7" s="22">
        <f>B3+4*B4</f>
        <v>4.3</v>
      </c>
      <c r="E7" s="14"/>
      <c r="F7" s="17" t="s">
        <v>23</v>
      </c>
      <c r="G7" s="21">
        <v>8.89</v>
      </c>
      <c r="H7" s="17"/>
      <c r="I7" s="31"/>
      <c r="J7" s="31"/>
      <c r="K7" s="56"/>
    </row>
    <row r="8" spans="1:11" ht="15">
      <c r="A8" s="23"/>
      <c r="B8" s="24"/>
      <c r="C8" s="23" t="s">
        <v>24</v>
      </c>
      <c r="D8" s="25">
        <f>B3+2*B4</f>
        <v>4.1</v>
      </c>
      <c r="E8" s="26"/>
      <c r="F8" s="27"/>
      <c r="G8" s="28"/>
      <c r="H8" s="27"/>
      <c r="I8" s="57"/>
      <c r="J8" s="57"/>
      <c r="K8" s="28"/>
    </row>
    <row r="9" spans="1:5" ht="14.25">
      <c r="A9" s="29"/>
      <c r="B9" s="30"/>
      <c r="C9" s="29"/>
      <c r="D9" s="31"/>
      <c r="E9" s="31"/>
    </row>
    <row r="10" spans="1:11" ht="15">
      <c r="A10" s="32" t="s">
        <v>25</v>
      </c>
      <c r="B10" s="32"/>
      <c r="C10" s="32"/>
      <c r="D10" s="32"/>
      <c r="E10" s="32"/>
      <c r="H10" s="33" t="s">
        <v>26</v>
      </c>
      <c r="I10" s="33"/>
      <c r="J10" s="33"/>
      <c r="K10" s="33"/>
    </row>
    <row r="11" spans="1:11" ht="14.25">
      <c r="A11" s="5"/>
      <c r="B11" s="34"/>
      <c r="C11" s="7"/>
      <c r="D11" s="35"/>
      <c r="E11" s="36"/>
      <c r="H11" s="37" t="s">
        <v>27</v>
      </c>
      <c r="I11" s="35">
        <v>350</v>
      </c>
      <c r="J11" s="58" t="s">
        <v>28</v>
      </c>
      <c r="K11" s="59">
        <f>3.14*((I11-2*I15)^2-I12^2)*I13/(4*1000000*I14^2)</f>
        <v>0.45322641509433964</v>
      </c>
    </row>
    <row r="12" spans="1:11" ht="14.25">
      <c r="A12" s="10" t="s">
        <v>29</v>
      </c>
      <c r="B12" s="11">
        <v>0.93</v>
      </c>
      <c r="C12" s="12" t="s">
        <v>30</v>
      </c>
      <c r="D12" s="22">
        <f>(1-B14)*B12</f>
        <v>0.651</v>
      </c>
      <c r="E12" s="14"/>
      <c r="H12" s="38" t="s">
        <v>31</v>
      </c>
      <c r="I12" s="22">
        <v>180</v>
      </c>
      <c r="J12" s="60"/>
      <c r="K12" s="14"/>
    </row>
    <row r="13" spans="1:11" ht="14.25">
      <c r="A13" s="10" t="s">
        <v>32</v>
      </c>
      <c r="B13" s="11">
        <v>2.3</v>
      </c>
      <c r="C13" s="12" t="s">
        <v>33</v>
      </c>
      <c r="D13" s="22">
        <f>(2*B13+1-2*B14*(B13-1))*B13/(2*B13+1+B14*(B13-1))</f>
        <v>1.8507512520868112</v>
      </c>
      <c r="E13" s="14"/>
      <c r="H13" s="38" t="s">
        <v>34</v>
      </c>
      <c r="I13" s="22">
        <v>180</v>
      </c>
      <c r="J13" s="61"/>
      <c r="K13" s="14"/>
    </row>
    <row r="14" spans="1:11" ht="15.75">
      <c r="A14" s="10" t="s">
        <v>35</v>
      </c>
      <c r="B14" s="39">
        <v>0.3</v>
      </c>
      <c r="C14" s="40"/>
      <c r="D14" s="22">
        <f>SQRT(D12^2*(B16^2-B15^2)/B12+B15^2)</f>
        <v>1.0468363195839168</v>
      </c>
      <c r="E14" s="14"/>
      <c r="H14" s="38" t="s">
        <v>36</v>
      </c>
      <c r="I14" s="22">
        <v>5.3</v>
      </c>
      <c r="J14" s="22"/>
      <c r="K14" s="14"/>
    </row>
    <row r="15" spans="1:11" ht="15">
      <c r="A15" s="10" t="s">
        <v>2</v>
      </c>
      <c r="B15" s="11">
        <v>0.36</v>
      </c>
      <c r="C15" s="41" t="s">
        <v>37</v>
      </c>
      <c r="D15" s="11">
        <f>SQRT((B16^2-B15^2)*(1-B14)+B15^2)</f>
        <v>1.270385768182248</v>
      </c>
      <c r="E15" s="14"/>
      <c r="H15" s="42" t="s">
        <v>38</v>
      </c>
      <c r="I15" s="25">
        <v>0</v>
      </c>
      <c r="J15" s="25"/>
      <c r="K15" s="26"/>
    </row>
    <row r="16" spans="1:11" ht="15">
      <c r="A16" s="23" t="s">
        <v>7</v>
      </c>
      <c r="B16" s="43">
        <v>1.5</v>
      </c>
      <c r="C16" s="44" t="s">
        <v>39</v>
      </c>
      <c r="D16" s="25">
        <f>(B16^2-B15^2)*3.14*D12/4</f>
        <v>1.083598614</v>
      </c>
      <c r="E16" s="26"/>
      <c r="J16" s="31"/>
      <c r="K16" s="31"/>
    </row>
    <row r="17" spans="1:10" ht="15">
      <c r="A17" s="29"/>
      <c r="B17" s="45"/>
      <c r="C17" s="29"/>
      <c r="D17" s="31"/>
      <c r="E17" s="31"/>
      <c r="I17" s="50" t="s">
        <v>40</v>
      </c>
      <c r="J17" s="50"/>
    </row>
    <row r="18" spans="1:11" ht="14.25">
      <c r="A18" s="46"/>
      <c r="C18" s="46"/>
      <c r="H18" s="37" t="s">
        <v>41</v>
      </c>
      <c r="I18" s="35">
        <v>0.1</v>
      </c>
      <c r="J18" s="58" t="s">
        <v>42</v>
      </c>
      <c r="K18" s="62">
        <f>I18*((1/SIN(3.14/I19))+1)*0.985</f>
        <v>0.3256266526039244</v>
      </c>
    </row>
    <row r="19" spans="1:11" ht="19.5">
      <c r="A19" s="47" t="s">
        <v>43</v>
      </c>
      <c r="B19" s="47"/>
      <c r="C19" s="47"/>
      <c r="D19" s="47"/>
      <c r="E19" s="47"/>
      <c r="H19" s="42" t="s">
        <v>44</v>
      </c>
      <c r="I19" s="25">
        <v>7</v>
      </c>
      <c r="J19" s="25"/>
      <c r="K19" s="26"/>
    </row>
    <row r="20" spans="1:9" ht="14.25">
      <c r="A20" s="5" t="s">
        <v>45</v>
      </c>
      <c r="B20" s="48">
        <v>8</v>
      </c>
      <c r="C20" s="7"/>
      <c r="D20" s="35"/>
      <c r="E20" s="36"/>
      <c r="I20" s="63"/>
    </row>
    <row r="21" spans="1:6" ht="15">
      <c r="A21" s="10" t="s">
        <v>46</v>
      </c>
      <c r="B21" s="49">
        <v>0.25</v>
      </c>
      <c r="C21" s="12" t="s">
        <v>47</v>
      </c>
      <c r="D21" s="22">
        <f>(B20-B20*B21)/SIN(B23*3.14/180)</f>
        <v>6.9303283962885365</v>
      </c>
      <c r="E21" s="14"/>
      <c r="F21" s="50"/>
    </row>
    <row r="22" spans="1:12" ht="14.25">
      <c r="A22" s="10" t="s">
        <v>48</v>
      </c>
      <c r="B22" s="11">
        <v>1.9</v>
      </c>
      <c r="C22" s="12" t="s">
        <v>49</v>
      </c>
      <c r="D22" s="22">
        <f>B25*B20*B24*SQRT((1+(3.14*B22/D21)*(3.14*B22/D21)))</f>
        <v>0.5700222206690888</v>
      </c>
      <c r="E22" s="14"/>
      <c r="G22" s="37" t="s">
        <v>50</v>
      </c>
      <c r="H22" s="51" t="s">
        <v>51</v>
      </c>
      <c r="I22" s="35" t="s">
        <v>52</v>
      </c>
      <c r="J22" s="35" t="s">
        <v>53</v>
      </c>
      <c r="K22" s="35" t="s">
        <v>54</v>
      </c>
      <c r="L22" s="36" t="e">
        <f>1.65*J22</f>
        <v>#VALUE!</v>
      </c>
    </row>
    <row r="23" spans="1:12" ht="14.25">
      <c r="A23" s="10" t="s">
        <v>55</v>
      </c>
      <c r="B23" s="11">
        <v>60</v>
      </c>
      <c r="C23" s="12"/>
      <c r="D23" s="22"/>
      <c r="E23" s="14"/>
      <c r="G23" s="38" t="s">
        <v>50</v>
      </c>
      <c r="H23" s="52" t="s">
        <v>56</v>
      </c>
      <c r="I23" s="22" t="s">
        <v>52</v>
      </c>
      <c r="J23" s="22" t="s">
        <v>53</v>
      </c>
      <c r="K23" s="22" t="s">
        <v>54</v>
      </c>
      <c r="L23" s="14" t="e">
        <f>1.71*J23</f>
        <v>#VALUE!</v>
      </c>
    </row>
    <row r="24" spans="1:12" ht="14.25">
      <c r="A24" s="10" t="s">
        <v>57</v>
      </c>
      <c r="B24" s="11">
        <v>1.8</v>
      </c>
      <c r="C24" s="12"/>
      <c r="D24" s="22"/>
      <c r="E24" s="14"/>
      <c r="G24" s="38" t="s">
        <v>58</v>
      </c>
      <c r="H24" s="52" t="s">
        <v>59</v>
      </c>
      <c r="I24" s="22" t="s">
        <v>52</v>
      </c>
      <c r="J24" s="22" t="s">
        <v>53</v>
      </c>
      <c r="K24" s="22" t="s">
        <v>54</v>
      </c>
      <c r="L24" s="14" t="e">
        <f>2.6*J24</f>
        <v>#VALUE!</v>
      </c>
    </row>
    <row r="25" spans="1:12" ht="16.5">
      <c r="A25" s="10" t="s">
        <v>60</v>
      </c>
      <c r="B25" s="11">
        <v>0.03</v>
      </c>
      <c r="C25" s="12"/>
      <c r="D25" s="22"/>
      <c r="E25" s="14"/>
      <c r="G25" s="38" t="s">
        <v>61</v>
      </c>
      <c r="H25" s="53" t="s">
        <v>62</v>
      </c>
      <c r="I25" s="53"/>
      <c r="J25" s="22"/>
      <c r="K25" s="22"/>
      <c r="L25" s="14"/>
    </row>
    <row r="26" spans="1:12" ht="15">
      <c r="A26" s="23"/>
      <c r="B26" s="25"/>
      <c r="C26" s="44"/>
      <c r="D26" s="25"/>
      <c r="E26" s="26"/>
      <c r="G26" s="42" t="s">
        <v>63</v>
      </c>
      <c r="H26" s="25" t="s">
        <v>64</v>
      </c>
      <c r="I26" s="25" t="s">
        <v>52</v>
      </c>
      <c r="J26" s="25" t="s">
        <v>53</v>
      </c>
      <c r="K26" s="25" t="s">
        <v>54</v>
      </c>
      <c r="L26" s="26" t="e">
        <f>SQRT(H26)*1.9*J26</f>
        <v>#VALUE!</v>
      </c>
    </row>
    <row r="27" spans="1:3" ht="14.25">
      <c r="A27" s="46"/>
      <c r="C27" s="46"/>
    </row>
    <row r="28" spans="1:3" ht="14.25">
      <c r="A28" s="46"/>
      <c r="C28" s="46"/>
    </row>
    <row r="29" spans="1:6" ht="14.25">
      <c r="A29" s="4" t="s">
        <v>65</v>
      </c>
      <c r="B29" s="4"/>
      <c r="C29" s="4"/>
      <c r="D29" s="4"/>
      <c r="E29" s="4"/>
      <c r="F29" s="4"/>
    </row>
  </sheetData>
  <sheetProtection/>
  <mergeCells count="7">
    <mergeCell ref="A1:E1"/>
    <mergeCell ref="I1:K1"/>
    <mergeCell ref="A10:E10"/>
    <mergeCell ref="H10:K10"/>
    <mergeCell ref="I17:J17"/>
    <mergeCell ref="A19:E19"/>
    <mergeCell ref="A29:F2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4"/>
  <sheetViews>
    <sheetView workbookViewId="0" topLeftCell="A48">
      <selection activeCell="D53" sqref="D53"/>
    </sheetView>
  </sheetViews>
  <sheetFormatPr defaultColWidth="9.00390625" defaultRowHeight="14.25"/>
  <sheetData>
    <row r="1" ht="14.25">
      <c r="A1" s="1" t="s">
        <v>66</v>
      </c>
    </row>
    <row r="2" ht="14.25">
      <c r="A2" s="1" t="s">
        <v>67</v>
      </c>
    </row>
    <row r="3" ht="14.25">
      <c r="A3" s="2"/>
    </row>
    <row r="4" ht="14.25">
      <c r="A4" s="2"/>
    </row>
    <row r="5" ht="14.25">
      <c r="A5" s="2"/>
    </row>
    <row r="6" ht="14.25">
      <c r="A6" s="2"/>
    </row>
    <row r="7" ht="14.25">
      <c r="A7" s="1" t="s">
        <v>68</v>
      </c>
    </row>
    <row r="8" ht="14.25">
      <c r="A8" s="1" t="s">
        <v>69</v>
      </c>
    </row>
    <row r="9" ht="14.25">
      <c r="A9" s="2"/>
    </row>
    <row r="10" ht="14.25">
      <c r="A10" s="1" t="s">
        <v>70</v>
      </c>
    </row>
    <row r="11" ht="14.25">
      <c r="A11" s="2"/>
    </row>
    <row r="12" ht="14.25">
      <c r="A12" s="1" t="s">
        <v>71</v>
      </c>
    </row>
    <row r="13" ht="14.25">
      <c r="A13" s="1" t="s">
        <v>72</v>
      </c>
    </row>
    <row r="14" ht="14.25">
      <c r="A14" s="2"/>
    </row>
    <row r="15" ht="14.25">
      <c r="A15" s="1" t="s">
        <v>70</v>
      </c>
    </row>
    <row r="16" ht="14.25">
      <c r="A16" s="2"/>
    </row>
    <row r="17" ht="14.25">
      <c r="A17" s="1" t="s">
        <v>73</v>
      </c>
    </row>
    <row r="18" ht="14.25">
      <c r="A18" s="1" t="s">
        <v>74</v>
      </c>
    </row>
    <row r="19" ht="14.25">
      <c r="A19" s="2"/>
    </row>
    <row r="20" ht="14.25">
      <c r="A20" s="1" t="s">
        <v>75</v>
      </c>
    </row>
    <row r="21" ht="14.25">
      <c r="A21" s="2"/>
    </row>
    <row r="22" ht="14.25">
      <c r="A22" s="2"/>
    </row>
    <row r="23" ht="14.25">
      <c r="A23" s="2"/>
    </row>
    <row r="24" ht="14.25">
      <c r="A24" s="2"/>
    </row>
    <row r="25" ht="14.25">
      <c r="A25" s="1" t="s">
        <v>68</v>
      </c>
    </row>
    <row r="26" ht="14.25">
      <c r="A26" s="1" t="s">
        <v>69</v>
      </c>
    </row>
    <row r="27" ht="14.25">
      <c r="A27" s="2"/>
    </row>
    <row r="28" ht="14.25">
      <c r="A28" s="1" t="s">
        <v>70</v>
      </c>
    </row>
    <row r="29" ht="14.25">
      <c r="A29" s="2"/>
    </row>
    <row r="30" ht="14.25">
      <c r="A30" s="1" t="s">
        <v>71</v>
      </c>
    </row>
    <row r="31" ht="14.25">
      <c r="A31" s="1" t="s">
        <v>72</v>
      </c>
    </row>
    <row r="32" ht="14.25">
      <c r="A32" s="2"/>
    </row>
    <row r="33" ht="14.25">
      <c r="A33" s="1" t="s">
        <v>70</v>
      </c>
    </row>
    <row r="34" ht="14.25">
      <c r="A34" s="2"/>
    </row>
    <row r="35" ht="14.25">
      <c r="A35" s="1" t="s">
        <v>73</v>
      </c>
    </row>
    <row r="36" ht="14.25">
      <c r="A36" s="1" t="s">
        <v>74</v>
      </c>
    </row>
    <row r="37" ht="14.25">
      <c r="A37" s="2"/>
    </row>
    <row r="38" ht="14.25">
      <c r="A38" s="1" t="s">
        <v>70</v>
      </c>
    </row>
    <row r="39" ht="14.25">
      <c r="A39" s="2"/>
    </row>
    <row r="40" ht="14.25">
      <c r="A40" s="1" t="s">
        <v>76</v>
      </c>
    </row>
    <row r="41" ht="14.25">
      <c r="A41" s="1" t="s">
        <v>77</v>
      </c>
    </row>
    <row r="42" ht="14.25">
      <c r="A42" s="2"/>
    </row>
    <row r="43" ht="14.25">
      <c r="A43" s="1" t="s">
        <v>70</v>
      </c>
    </row>
    <row r="44" ht="14.25">
      <c r="A44" s="2"/>
    </row>
    <row r="45" ht="14.25">
      <c r="A45" s="1" t="s">
        <v>78</v>
      </c>
    </row>
    <row r="46" ht="14.25">
      <c r="A46" s="1" t="s">
        <v>79</v>
      </c>
    </row>
    <row r="47" ht="14.25">
      <c r="A47" s="1" t="s">
        <v>80</v>
      </c>
    </row>
    <row r="48" ht="14.25">
      <c r="A48" s="2"/>
    </row>
    <row r="49" ht="14.25">
      <c r="A49" s="1" t="s">
        <v>70</v>
      </c>
    </row>
    <row r="50" ht="14.25">
      <c r="A50" s="2"/>
    </row>
    <row r="51" ht="14.25">
      <c r="A51" s="2"/>
    </row>
    <row r="52" ht="14.25">
      <c r="A52" s="1" t="s">
        <v>81</v>
      </c>
    </row>
    <row r="53" ht="14.25">
      <c r="A53" s="1" t="s">
        <v>82</v>
      </c>
    </row>
    <row r="54" ht="14.25">
      <c r="A54" s="1" t="s">
        <v>83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2015-06-11T01:43:13Z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2052-9.1.0.5100</vt:lpwstr>
  </property>
</Properties>
</file>